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uildford-my.sharepoint.com/personal/gabriella_ebbs_guildford_gov_uk/Documents/Documents/"/>
    </mc:Choice>
  </mc:AlternateContent>
  <xr:revisionPtr revIDLastSave="0" documentId="8_{756EBB8E-6FA6-49E1-99FE-A9366AE4BFC0}" xr6:coauthVersionLast="47" xr6:coauthVersionMax="47" xr10:uidLastSave="{00000000-0000-0000-0000-000000000000}"/>
  <bookViews>
    <workbookView xWindow="760" yWindow="760" windowWidth="17600" windowHeight="9060" xr2:uid="{F8F7F638-98BB-43DD-B8E6-FAEF7E21A24B}"/>
  </bookViews>
  <sheets>
    <sheet name="Calculator" sheetId="1" r:id="rId1"/>
    <sheet name="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1" l="1"/>
  <c r="H42" i="1" s="1"/>
  <c r="H47" i="1" s="1"/>
  <c r="C42" i="1"/>
  <c r="D42" i="1" s="1"/>
  <c r="E42" i="1"/>
  <c r="G42" i="1" s="1"/>
  <c r="G47" i="1" s="1"/>
  <c r="F10" i="1"/>
  <c r="C12" i="2"/>
  <c r="D12" i="2"/>
  <c r="D13" i="2"/>
  <c r="D14" i="2"/>
  <c r="D15" i="2"/>
  <c r="D11" i="2"/>
  <c r="F47" i="1" l="1"/>
  <c r="E47" i="1"/>
  <c r="I47" i="1"/>
  <c r="I42" i="1"/>
  <c r="C13" i="2"/>
  <c r="E13" i="2" s="1"/>
  <c r="C14" i="2"/>
  <c r="E14" i="2" s="1"/>
  <c r="C11" i="2"/>
  <c r="E11" i="2" s="1"/>
  <c r="C15" i="2"/>
  <c r="E12" i="2"/>
  <c r="E15" i="2"/>
  <c r="C27" i="1"/>
  <c r="E14" i="1"/>
  <c r="B1" i="1"/>
  <c r="G20" i="1"/>
  <c r="E34" i="1"/>
  <c r="E11" i="1"/>
  <c r="E12" i="1"/>
  <c r="E13" i="1"/>
  <c r="E27" i="1"/>
  <c r="C34" i="1"/>
  <c r="D34" i="1" s="1"/>
  <c r="E10" i="1"/>
  <c r="C13" i="1"/>
  <c r="C12" i="1"/>
  <c r="C11" i="1"/>
  <c r="C10" i="1"/>
  <c r="F14" i="1"/>
  <c r="F13" i="1"/>
  <c r="F12" i="1"/>
  <c r="J12" i="1" s="1"/>
  <c r="F11" i="1"/>
  <c r="J11" i="1" s="1"/>
  <c r="I10" i="1" l="1"/>
  <c r="I13" i="1"/>
  <c r="C14" i="1"/>
  <c r="G14" i="1" s="1"/>
  <c r="H14" i="1" s="1"/>
  <c r="I14" i="1"/>
  <c r="F27" i="1"/>
  <c r="F34" i="1"/>
  <c r="G34" i="1" s="1"/>
  <c r="G11" i="1"/>
  <c r="H11" i="1" s="1"/>
  <c r="G13" i="1"/>
  <c r="H13" i="1" s="1"/>
  <c r="G12" i="1"/>
  <c r="H12" i="1" s="1"/>
  <c r="I12" i="1"/>
  <c r="J10" i="1"/>
  <c r="I11" i="1"/>
  <c r="J14" i="1"/>
  <c r="J13" i="1"/>
  <c r="G10" i="1"/>
  <c r="H10" i="1" s="1"/>
  <c r="F15" i="1"/>
  <c r="K10" i="1" l="1"/>
  <c r="I27" i="1"/>
  <c r="H27" i="1"/>
  <c r="K14" i="1"/>
  <c r="G27" i="1"/>
  <c r="I15" i="1"/>
  <c r="I20" i="1" s="1"/>
  <c r="G15" i="1"/>
  <c r="H15" i="1"/>
  <c r="H20" i="1" s="1"/>
  <c r="K13" i="1"/>
  <c r="K12" i="1"/>
  <c r="K11" i="1"/>
  <c r="J15" i="1"/>
  <c r="J20" i="1" s="1"/>
  <c r="J27" i="1" l="1"/>
  <c r="K20" i="1"/>
  <c r="K15" i="1"/>
</calcChain>
</file>

<file path=xl/sharedStrings.xml><?xml version="1.0" encoding="utf-8"?>
<sst xmlns="http://schemas.openxmlformats.org/spreadsheetml/2006/main" count="81" uniqueCount="65">
  <si>
    <t>C3</t>
  </si>
  <si>
    <t>Ordinary (C3) dwellings</t>
  </si>
  <si>
    <t>SANG tariff</t>
  </si>
  <si>
    <t>SAMM tariff</t>
  </si>
  <si>
    <t>Occupancy</t>
  </si>
  <si>
    <t>Tariff year</t>
  </si>
  <si>
    <t>1 bed/studio</t>
  </si>
  <si>
    <t>Total tariff</t>
  </si>
  <si>
    <t>HMO</t>
  </si>
  <si>
    <t>SANG Tariff</t>
  </si>
  <si>
    <t>Total occupancy</t>
  </si>
  <si>
    <t>Totals</t>
  </si>
  <si>
    <t>2 beds</t>
  </si>
  <si>
    <t>3 beds</t>
  </si>
  <si>
    <t>4 beds</t>
  </si>
  <si>
    <t>5+ beds</t>
  </si>
  <si>
    <t>Bedrooms</t>
  </si>
  <si>
    <t>No. of bedrooms</t>
  </si>
  <si>
    <t>Increase in occupancy</t>
  </si>
  <si>
    <t>Proposed units</t>
  </si>
  <si>
    <t>Net units</t>
  </si>
  <si>
    <t>Discount (%)</t>
  </si>
  <si>
    <t>Calculation for all net new C3 dwellings within 400m-5km of the Thames Basin Heaths SPA and developments of over 50 net C3 dwellings within 5-7km of the SPA</t>
  </si>
  <si>
    <t>SANG mitigation (ha)</t>
  </si>
  <si>
    <t>*Excludes C3 enabling adjustment</t>
  </si>
  <si>
    <t>Occupancy change</t>
  </si>
  <si>
    <t>HMO Bedrooms</t>
  </si>
  <si>
    <t>C3 Occupancy</t>
  </si>
  <si>
    <t>HMO occupancy</t>
  </si>
  <si>
    <t>SANG mitigation assumes 8 hectares per thousand people or 0.008 hectares per person</t>
  </si>
  <si>
    <t>Existing units to be demolished</t>
  </si>
  <si>
    <t>SANG tariff per person</t>
  </si>
  <si>
    <t>SAMM tariff per person*</t>
  </si>
  <si>
    <t>SANG Tariff after discount</t>
  </si>
  <si>
    <t>SAMM tariff after discount</t>
  </si>
  <si>
    <t>Total tariff after discount</t>
  </si>
  <si>
    <t>SANG mitigation (ha) after discount</t>
  </si>
  <si>
    <t>Provision (%)</t>
  </si>
  <si>
    <t>Enter data into the white squares only.</t>
  </si>
  <si>
    <t>Discount calculator where Natural England has agreed that a lesser amount of SANG provision is acceptable</t>
  </si>
  <si>
    <t>Tariffs for year:</t>
  </si>
  <si>
    <t>2026-2027</t>
  </si>
  <si>
    <t>This may apply to, for example, student units and developments within the 5-7km zone</t>
  </si>
  <si>
    <t>* 5 bedrooms and above should be entered as 5</t>
  </si>
  <si>
    <t>**These calculators assume an occupancy rate of one person per room in a HMO. Do not use these calculators if the occupancy rate is known to be higher.</t>
  </si>
  <si>
    <t>C3 Bedrooms*
(1-5 beds)</t>
  </si>
  <si>
    <t>Calculation for new house in multiple occupation (HMO) within 400m-5km of the Thames Basin Heaths SPA**</t>
  </si>
  <si>
    <t>Calculation for conversion from C3 dwelling to house in multiple occupation (HMO) within 400m-5km of the Thames Basin Heaths SPA*</t>
  </si>
  <si>
    <t>Calculation traveller pitches and plots***</t>
  </si>
  <si>
    <t>Pitch or plot</t>
  </si>
  <si>
    <t>No. of pitches/plots</t>
  </si>
  <si>
    <t>SANG Tariff per pitch/plot</t>
  </si>
  <si>
    <t>SAMM Tariff per pitch/plot</t>
  </si>
  <si>
    <t>Total SANG Tariff</t>
  </si>
  <si>
    <t>Total SAMM tariff</t>
  </si>
  <si>
    <t>Scroll down for more calculators (discounts, HMOs, traveller plots/pitches).</t>
  </si>
  <si>
    <t>Discount calculator for temporary permissions</t>
  </si>
  <si>
    <t>Years of permission</t>
  </si>
  <si>
    <t>Notes: the SANG tariff per year is 1/125th of the total tariff. The SAMM tariff per year is 1/80th of the total tariff. See the Special Protection Area Tariffs 2024 Supplementary Planning Document at 2.7.</t>
  </si>
  <si>
    <t>*** This calculation is for a "standard pitch or plot" as defined in the Special Protection Area Tariffs 2024 Supplementary Planning Document at 2.12.</t>
  </si>
  <si>
    <t>SAMM tariff total</t>
  </si>
  <si>
    <t>SANG tariff per pitch/plot per year</t>
  </si>
  <si>
    <t>SAMM tariff per pitch/plot per year</t>
  </si>
  <si>
    <t>SANG tariff total</t>
  </si>
  <si>
    <t>(Calculator published September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</si>
</sst>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£&quot;#,##0.00;[Red]\-&quot;£&quot;#,##0.00"/>
    <numFmt numFmtId="164" formatCode="&quot;£&quot;#,##0.00"/>
    <numFmt numFmtId="165" formatCode="0.00_ ;[Red]\-0.00\ "/>
    <numFmt numFmtId="166" formatCode="0_ ;[Red]\-0\ "/>
    <numFmt numFmtId="167" formatCode="0.00000_ ;[Red]\-0.0000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164" fontId="0" fillId="0" borderId="0" xfId="0" applyNumberFormat="1"/>
    <xf numFmtId="8" fontId="0" fillId="0" borderId="0" xfId="0" applyNumberFormat="1"/>
    <xf numFmtId="8" fontId="0" fillId="2" borderId="1" xfId="0" applyNumberFormat="1" applyFill="1" applyBorder="1"/>
    <xf numFmtId="0" fontId="1" fillId="2" borderId="5" xfId="0" applyFont="1" applyFill="1" applyBorder="1"/>
    <xf numFmtId="0" fontId="1" fillId="2" borderId="7" xfId="0" applyFont="1" applyFill="1" applyBorder="1"/>
    <xf numFmtId="0" fontId="1" fillId="3" borderId="7" xfId="0" applyFont="1" applyFill="1" applyBorder="1"/>
    <xf numFmtId="0" fontId="0" fillId="3" borderId="8" xfId="0" applyFill="1" applyBorder="1"/>
    <xf numFmtId="8" fontId="0" fillId="3" borderId="8" xfId="0" applyNumberFormat="1" applyFill="1" applyBorder="1"/>
    <xf numFmtId="0" fontId="3" fillId="0" borderId="0" xfId="0" applyFont="1"/>
    <xf numFmtId="0" fontId="1" fillId="2" borderId="13" xfId="0" applyFont="1" applyFill="1" applyBorder="1"/>
    <xf numFmtId="0" fontId="0" fillId="0" borderId="7" xfId="0" applyBorder="1"/>
    <xf numFmtId="8" fontId="0" fillId="2" borderId="6" xfId="0" applyNumberFormat="1" applyFill="1" applyBorder="1"/>
    <xf numFmtId="0" fontId="0" fillId="0" borderId="0" xfId="0" applyAlignment="1">
      <alignment horizontal="left"/>
    </xf>
    <xf numFmtId="0" fontId="0" fillId="2" borderId="12" xfId="0" applyFill="1" applyBorder="1"/>
    <xf numFmtId="0" fontId="0" fillId="2" borderId="13" xfId="0" applyFill="1" applyBorder="1"/>
    <xf numFmtId="2" fontId="0" fillId="2" borderId="12" xfId="0" applyNumberFormat="1" applyFill="1" applyBorder="1"/>
    <xf numFmtId="2" fontId="0" fillId="2" borderId="13" xfId="0" applyNumberFormat="1" applyFill="1" applyBorder="1"/>
    <xf numFmtId="165" fontId="0" fillId="2" borderId="1" xfId="0" applyNumberFormat="1" applyFill="1" applyBorder="1"/>
    <xf numFmtId="165" fontId="0" fillId="2" borderId="8" xfId="0" applyNumberFormat="1" applyFill="1" applyBorder="1"/>
    <xf numFmtId="166" fontId="0" fillId="2" borderId="1" xfId="0" applyNumberFormat="1" applyFill="1" applyBorder="1"/>
    <xf numFmtId="166" fontId="0" fillId="2" borderId="8" xfId="0" applyNumberFormat="1" applyFill="1" applyBorder="1"/>
    <xf numFmtId="167" fontId="0" fillId="2" borderId="15" xfId="0" applyNumberFormat="1" applyFill="1" applyBorder="1"/>
    <xf numFmtId="167" fontId="0" fillId="2" borderId="16" xfId="0" applyNumberFormat="1" applyFill="1" applyBorder="1"/>
    <xf numFmtId="8" fontId="0" fillId="2" borderId="8" xfId="0" applyNumberFormat="1" applyFill="1" applyBorder="1"/>
    <xf numFmtId="8" fontId="0" fillId="2" borderId="9" xfId="0" applyNumberFormat="1" applyFill="1" applyBorder="1"/>
    <xf numFmtId="0" fontId="0" fillId="2" borderId="2" xfId="0" applyFill="1" applyBorder="1" applyAlignment="1">
      <alignment wrapText="1"/>
    </xf>
    <xf numFmtId="0" fontId="0" fillId="0" borderId="0" xfId="0" applyAlignment="1">
      <alignment wrapText="1"/>
    </xf>
    <xf numFmtId="0" fontId="0" fillId="3" borderId="2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2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8" fontId="0" fillId="3" borderId="9" xfId="0" applyNumberFormat="1" applyFill="1" applyBorder="1"/>
    <xf numFmtId="0" fontId="0" fillId="4" borderId="2" xfId="0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164" fontId="0" fillId="4" borderId="8" xfId="0" applyNumberFormat="1" applyFill="1" applyBorder="1" applyAlignment="1">
      <alignment horizontal="center" vertical="center" wrapText="1"/>
    </xf>
    <xf numFmtId="2" fontId="0" fillId="4" borderId="8" xfId="0" applyNumberFormat="1" applyFill="1" applyBorder="1" applyAlignment="1">
      <alignment horizontal="center" vertical="center" wrapText="1"/>
    </xf>
    <xf numFmtId="164" fontId="0" fillId="4" borderId="9" xfId="0" applyNumberFormat="1" applyFill="1" applyBorder="1" applyAlignment="1">
      <alignment horizontal="center" vertical="center" wrapText="1"/>
    </xf>
    <xf numFmtId="164" fontId="1" fillId="4" borderId="4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0" borderId="10" xfId="0" applyBorder="1"/>
    <xf numFmtId="0" fontId="4" fillId="5" borderId="17" xfId="0" applyFont="1" applyFill="1" applyBorder="1"/>
    <xf numFmtId="0" fontId="5" fillId="5" borderId="18" xfId="0" applyFont="1" applyFill="1" applyBorder="1" applyAlignment="1">
      <alignment horizontal="right"/>
    </xf>
    <xf numFmtId="167" fontId="0" fillId="2" borderId="8" xfId="0" applyNumberFormat="1" applyFill="1" applyBorder="1"/>
    <xf numFmtId="2" fontId="0" fillId="0" borderId="0" xfId="0" applyNumberFormat="1"/>
    <xf numFmtId="0" fontId="0" fillId="2" borderId="8" xfId="0" applyFill="1" applyBorder="1" applyAlignment="1">
      <alignment horizontal="center" vertical="center" wrapText="1"/>
    </xf>
    <xf numFmtId="0" fontId="1" fillId="4" borderId="19" xfId="0" applyFont="1" applyFill="1" applyBorder="1"/>
    <xf numFmtId="0" fontId="0" fillId="4" borderId="20" xfId="0" applyFill="1" applyBorder="1"/>
    <xf numFmtId="0" fontId="0" fillId="4" borderId="21" xfId="0" applyFill="1" applyBorder="1"/>
    <xf numFmtId="0" fontId="1" fillId="4" borderId="22" xfId="0" applyFont="1" applyFill="1" applyBorder="1"/>
    <xf numFmtId="0" fontId="0" fillId="4" borderId="23" xfId="0" applyFill="1" applyBorder="1"/>
    <xf numFmtId="0" fontId="0" fillId="4" borderId="24" xfId="0" applyFill="1" applyBorder="1"/>
    <xf numFmtId="0" fontId="6" fillId="0" borderId="0" xfId="0" applyFont="1"/>
    <xf numFmtId="0" fontId="1" fillId="6" borderId="7" xfId="0" applyFont="1" applyFill="1" applyBorder="1"/>
    <xf numFmtId="0" fontId="0" fillId="6" borderId="2" xfId="0" applyFill="1" applyBorder="1" applyAlignment="1">
      <alignment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8" fontId="0" fillId="6" borderId="9" xfId="0" applyNumberFormat="1" applyFill="1" applyBorder="1"/>
    <xf numFmtId="8" fontId="0" fillId="6" borderId="8" xfId="0" applyNumberFormat="1" applyFill="1" applyBorder="1"/>
    <xf numFmtId="4" fontId="0" fillId="6" borderId="8" xfId="0" applyNumberFormat="1" applyFill="1" applyBorder="1"/>
    <xf numFmtId="0" fontId="0" fillId="6" borderId="8" xfId="0" applyFill="1" applyBorder="1" applyAlignment="1">
      <alignment horizontal="center" vertical="top"/>
    </xf>
    <xf numFmtId="0" fontId="1" fillId="6" borderId="2" xfId="0" applyFont="1" applyFill="1" applyBorder="1" applyAlignment="1">
      <alignment horizontal="center" vertical="center" wrapText="1"/>
    </xf>
    <xf numFmtId="8" fontId="0" fillId="6" borderId="8" xfId="0" applyNumberFormat="1" applyFill="1" applyBorder="1" applyAlignment="1">
      <alignment horizontal="center" vertical="center" wrapText="1"/>
    </xf>
    <xf numFmtId="164" fontId="0" fillId="6" borderId="8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D3875-4F81-4DEF-915B-80AD4BFF1796}">
  <sheetPr>
    <tabColor theme="9"/>
  </sheetPr>
  <dimension ref="A1:M48"/>
  <sheetViews>
    <sheetView tabSelected="1" workbookViewId="0">
      <selection activeCell="E3" sqref="E3"/>
    </sheetView>
  </sheetViews>
  <sheetFormatPr defaultRowHeight="14.5" x14ac:dyDescent="0.35"/>
  <cols>
    <col min="1" max="1" width="21.453125" customWidth="1"/>
    <col min="2" max="11" width="13.453125" customWidth="1"/>
    <col min="13" max="13" width="10.90625" bestFit="1" customWidth="1"/>
  </cols>
  <sheetData>
    <row r="1" spans="1:13" ht="19" thickBot="1" x14ac:dyDescent="0.5">
      <c r="A1" s="53" t="s">
        <v>5</v>
      </c>
      <c r="B1" s="54" t="str">
        <f>Data!B2</f>
        <v>2026-2027</v>
      </c>
    </row>
    <row r="2" spans="1:13" x14ac:dyDescent="0.35">
      <c r="A2" t="s">
        <v>64</v>
      </c>
    </row>
    <row r="3" spans="1:13" ht="15" thickBot="1" x14ac:dyDescent="0.4"/>
    <row r="4" spans="1:13" x14ac:dyDescent="0.35">
      <c r="A4" s="58" t="s">
        <v>38</v>
      </c>
      <c r="B4" s="59"/>
      <c r="C4" s="59"/>
      <c r="D4" s="59"/>
      <c r="E4" s="60"/>
    </row>
    <row r="5" spans="1:13" ht="15" thickBot="1" x14ac:dyDescent="0.4">
      <c r="A5" s="61" t="s">
        <v>55</v>
      </c>
      <c r="B5" s="62"/>
      <c r="C5" s="62"/>
      <c r="D5" s="62"/>
      <c r="E5" s="63"/>
    </row>
    <row r="6" spans="1:13" x14ac:dyDescent="0.35">
      <c r="A6" s="1"/>
      <c r="B6" s="3"/>
    </row>
    <row r="7" spans="1:13" ht="18.5" x14ac:dyDescent="0.45">
      <c r="A7" s="11" t="s">
        <v>22</v>
      </c>
    </row>
    <row r="8" spans="1:13" ht="15" thickBot="1" x14ac:dyDescent="0.4">
      <c r="A8" s="1"/>
    </row>
    <row r="9" spans="1:13" s="29" customFormat="1" ht="43.5" x14ac:dyDescent="0.35">
      <c r="A9" s="28"/>
      <c r="B9" s="34" t="s">
        <v>19</v>
      </c>
      <c r="C9" s="34" t="s">
        <v>4</v>
      </c>
      <c r="D9" s="34" t="s">
        <v>30</v>
      </c>
      <c r="E9" s="34" t="s">
        <v>4</v>
      </c>
      <c r="F9" s="35" t="s">
        <v>20</v>
      </c>
      <c r="G9" s="35" t="s">
        <v>25</v>
      </c>
      <c r="H9" s="36" t="s">
        <v>23</v>
      </c>
      <c r="I9" s="35" t="s">
        <v>9</v>
      </c>
      <c r="J9" s="35" t="s">
        <v>3</v>
      </c>
      <c r="K9" s="37" t="s">
        <v>7</v>
      </c>
    </row>
    <row r="10" spans="1:13" x14ac:dyDescent="0.35">
      <c r="A10" s="6" t="s">
        <v>6</v>
      </c>
      <c r="B10" s="32">
        <v>0</v>
      </c>
      <c r="C10" s="16">
        <f>Data!B11*B10</f>
        <v>0</v>
      </c>
      <c r="D10" s="32">
        <v>0</v>
      </c>
      <c r="E10" s="18">
        <f>Data!B11*D10</f>
        <v>0</v>
      </c>
      <c r="F10" s="22">
        <f t="shared" ref="F10:G14" si="0">B10-D10</f>
        <v>0</v>
      </c>
      <c r="G10" s="20">
        <f t="shared" si="0"/>
        <v>0</v>
      </c>
      <c r="H10" s="24">
        <f>G10*0.008</f>
        <v>0</v>
      </c>
      <c r="I10" s="5">
        <f>Data!C11*F10</f>
        <v>0</v>
      </c>
      <c r="J10" s="5">
        <f>Data!D11*F10</f>
        <v>0</v>
      </c>
      <c r="K10" s="14">
        <f>J10+I10</f>
        <v>0</v>
      </c>
    </row>
    <row r="11" spans="1:13" x14ac:dyDescent="0.35">
      <c r="A11" s="6" t="s">
        <v>12</v>
      </c>
      <c r="B11" s="32">
        <v>0</v>
      </c>
      <c r="C11" s="16">
        <f>Data!B12*B11</f>
        <v>0</v>
      </c>
      <c r="D11" s="32">
        <v>0</v>
      </c>
      <c r="E11" s="18">
        <f>Data!B12*D11</f>
        <v>0</v>
      </c>
      <c r="F11" s="22">
        <f t="shared" si="0"/>
        <v>0</v>
      </c>
      <c r="G11" s="20">
        <f t="shared" si="0"/>
        <v>0</v>
      </c>
      <c r="H11" s="24">
        <f>G11*0.008</f>
        <v>0</v>
      </c>
      <c r="I11" s="5">
        <f>Data!C12*F11</f>
        <v>0</v>
      </c>
      <c r="J11" s="5">
        <f>Data!D12*F11</f>
        <v>0</v>
      </c>
      <c r="K11" s="14">
        <f t="shared" ref="K11:K14" si="1">J11+I11</f>
        <v>0</v>
      </c>
    </row>
    <row r="12" spans="1:13" x14ac:dyDescent="0.35">
      <c r="A12" s="6" t="s">
        <v>13</v>
      </c>
      <c r="B12" s="32">
        <v>0</v>
      </c>
      <c r="C12" s="16">
        <f>Data!B13*B12</f>
        <v>0</v>
      </c>
      <c r="D12" s="32">
        <v>0</v>
      </c>
      <c r="E12" s="18">
        <f>Data!B13*D12</f>
        <v>0</v>
      </c>
      <c r="F12" s="22">
        <f t="shared" si="0"/>
        <v>0</v>
      </c>
      <c r="G12" s="20">
        <f t="shared" si="0"/>
        <v>0</v>
      </c>
      <c r="H12" s="24">
        <f>G12*0.008</f>
        <v>0</v>
      </c>
      <c r="I12" s="5">
        <f>Data!C13*F12</f>
        <v>0</v>
      </c>
      <c r="J12" s="5">
        <f>Data!D13*F12</f>
        <v>0</v>
      </c>
      <c r="K12" s="14">
        <f t="shared" si="1"/>
        <v>0</v>
      </c>
    </row>
    <row r="13" spans="1:13" x14ac:dyDescent="0.35">
      <c r="A13" s="6" t="s">
        <v>14</v>
      </c>
      <c r="B13" s="32">
        <v>0</v>
      </c>
      <c r="C13" s="16">
        <f>Data!B14*B13</f>
        <v>0</v>
      </c>
      <c r="D13" s="32">
        <v>0</v>
      </c>
      <c r="E13" s="18">
        <f>Data!B14*D13</f>
        <v>0</v>
      </c>
      <c r="F13" s="22">
        <f t="shared" si="0"/>
        <v>0</v>
      </c>
      <c r="G13" s="20">
        <f t="shared" si="0"/>
        <v>0</v>
      </c>
      <c r="H13" s="24">
        <f>G13*0.008</f>
        <v>0</v>
      </c>
      <c r="I13" s="5">
        <f>Data!C14*F13</f>
        <v>0</v>
      </c>
      <c r="J13" s="5">
        <f>Data!D14*F13</f>
        <v>0</v>
      </c>
      <c r="K13" s="14">
        <f t="shared" si="1"/>
        <v>0</v>
      </c>
    </row>
    <row r="14" spans="1:13" x14ac:dyDescent="0.35">
      <c r="A14" s="6" t="s">
        <v>15</v>
      </c>
      <c r="B14" s="32">
        <v>0</v>
      </c>
      <c r="C14" s="16">
        <f>Data!B15*B14</f>
        <v>0</v>
      </c>
      <c r="D14" s="32">
        <v>0</v>
      </c>
      <c r="E14" s="18">
        <f>Data!B15*D14</f>
        <v>0</v>
      </c>
      <c r="F14" s="22">
        <f t="shared" si="0"/>
        <v>0</v>
      </c>
      <c r="G14" s="20">
        <f t="shared" si="0"/>
        <v>0</v>
      </c>
      <c r="H14" s="24">
        <f>G14*0.008</f>
        <v>0</v>
      </c>
      <c r="I14" s="5">
        <f>Data!C15*F14</f>
        <v>0</v>
      </c>
      <c r="J14" s="5">
        <f>Data!D15*F14</f>
        <v>0</v>
      </c>
      <c r="K14" s="14">
        <f t="shared" si="1"/>
        <v>0</v>
      </c>
      <c r="M14" s="4"/>
    </row>
    <row r="15" spans="1:13" ht="15" thickBot="1" x14ac:dyDescent="0.4">
      <c r="A15" s="7" t="s">
        <v>11</v>
      </c>
      <c r="B15" s="12"/>
      <c r="C15" s="17"/>
      <c r="D15" s="12"/>
      <c r="E15" s="19"/>
      <c r="F15" s="23">
        <f>SUM(F10:F14)</f>
        <v>0</v>
      </c>
      <c r="G15" s="21">
        <f>SUM(G10:G14)</f>
        <v>0</v>
      </c>
      <c r="H15" s="25">
        <f>SUM(H10:H14)</f>
        <v>0</v>
      </c>
      <c r="I15" s="26">
        <f>SUM(I10:I14)</f>
        <v>0</v>
      </c>
      <c r="J15" s="26">
        <f t="shared" ref="J15:K15" si="2">SUM(J10:J14)</f>
        <v>0</v>
      </c>
      <c r="K15" s="27">
        <f t="shared" si="2"/>
        <v>0</v>
      </c>
      <c r="M15" s="4"/>
    </row>
    <row r="16" spans="1:13" x14ac:dyDescent="0.35">
      <c r="I16" s="15"/>
      <c r="M16" s="4"/>
    </row>
    <row r="17" spans="1:13" ht="15.5" x14ac:dyDescent="0.35">
      <c r="A17" s="64" t="s">
        <v>39</v>
      </c>
      <c r="I17" s="2"/>
    </row>
    <row r="18" spans="1:13" ht="15" thickBot="1" x14ac:dyDescent="0.4">
      <c r="A18" s="42" t="s">
        <v>42</v>
      </c>
      <c r="I18" s="2"/>
    </row>
    <row r="19" spans="1:13" ht="43.5" x14ac:dyDescent="0.35">
      <c r="A19" s="42"/>
      <c r="F19" s="41" t="s">
        <v>21</v>
      </c>
      <c r="G19" s="35" t="s">
        <v>37</v>
      </c>
      <c r="H19" s="35" t="s">
        <v>36</v>
      </c>
      <c r="I19" s="35" t="s">
        <v>33</v>
      </c>
      <c r="J19" s="35" t="s">
        <v>34</v>
      </c>
      <c r="K19" s="37" t="s">
        <v>35</v>
      </c>
    </row>
    <row r="20" spans="1:13" ht="15" thickBot="1" x14ac:dyDescent="0.4">
      <c r="F20" s="13">
        <v>0</v>
      </c>
      <c r="G20" s="57">
        <f>100-F20</f>
        <v>100</v>
      </c>
      <c r="H20" s="55">
        <f>(H15/100)*G20</f>
        <v>0</v>
      </c>
      <c r="I20" s="26">
        <f>(I15/100)*G20</f>
        <v>0</v>
      </c>
      <c r="J20" s="26">
        <f>(J15/100)*G20</f>
        <v>0</v>
      </c>
      <c r="K20" s="27">
        <f>I20+J20</f>
        <v>0</v>
      </c>
      <c r="M20" s="4"/>
    </row>
    <row r="21" spans="1:13" x14ac:dyDescent="0.35">
      <c r="H21" s="56"/>
      <c r="I21" s="56"/>
      <c r="J21" s="56"/>
      <c r="K21" s="56"/>
    </row>
    <row r="22" spans="1:13" x14ac:dyDescent="0.35">
      <c r="H22" s="56"/>
      <c r="I22" s="56"/>
      <c r="J22" s="56"/>
      <c r="K22" s="56"/>
    </row>
    <row r="24" spans="1:13" ht="18.5" x14ac:dyDescent="0.45">
      <c r="A24" s="11" t="s">
        <v>47</v>
      </c>
    </row>
    <row r="25" spans="1:13" ht="15" thickBot="1" x14ac:dyDescent="0.4"/>
    <row r="26" spans="1:13" s="31" customFormat="1" ht="29" x14ac:dyDescent="0.35">
      <c r="A26" s="44"/>
      <c r="B26" s="40" t="s">
        <v>45</v>
      </c>
      <c r="C26" s="40" t="s">
        <v>27</v>
      </c>
      <c r="D26" s="40" t="s">
        <v>26</v>
      </c>
      <c r="E26" s="40" t="s">
        <v>28</v>
      </c>
      <c r="F26" s="40" t="s">
        <v>18</v>
      </c>
      <c r="G26" s="40" t="s">
        <v>23</v>
      </c>
      <c r="H26" s="40" t="s">
        <v>2</v>
      </c>
      <c r="I26" s="40" t="s">
        <v>3</v>
      </c>
      <c r="J26" s="49" t="s">
        <v>7</v>
      </c>
    </row>
    <row r="27" spans="1:13" ht="15" thickBot="1" x14ac:dyDescent="0.4">
      <c r="A27" s="45" t="s">
        <v>0</v>
      </c>
      <c r="B27" s="50">
        <v>0</v>
      </c>
      <c r="C27" s="51" t="e">
        <f>VLOOKUP(B27, Data!A11:B15,2,FALSE)</f>
        <v>#N/A</v>
      </c>
      <c r="D27" s="50">
        <v>5</v>
      </c>
      <c r="E27" s="51">
        <f>D27</f>
        <v>5</v>
      </c>
      <c r="F27" s="47" t="e">
        <f>E27-C27</f>
        <v>#N/A</v>
      </c>
      <c r="G27" s="51" t="e">
        <f>F27*0.008</f>
        <v>#N/A</v>
      </c>
      <c r="H27" s="46" t="e">
        <f>F27*Data!B4</f>
        <v>#N/A</v>
      </c>
      <c r="I27" s="46" t="e">
        <f>F27*Data!B5</f>
        <v>#N/A</v>
      </c>
      <c r="J27" s="48" t="e">
        <f>I27+H27</f>
        <v>#N/A</v>
      </c>
    </row>
    <row r="28" spans="1:13" x14ac:dyDescent="0.35">
      <c r="A28" t="s">
        <v>43</v>
      </c>
    </row>
    <row r="31" spans="1:13" ht="18.5" x14ac:dyDescent="0.45">
      <c r="A31" s="11" t="s">
        <v>46</v>
      </c>
    </row>
    <row r="32" spans="1:13" ht="15" thickBot="1" x14ac:dyDescent="0.4">
      <c r="A32" s="1"/>
    </row>
    <row r="33" spans="1:9" s="31" customFormat="1" ht="29" x14ac:dyDescent="0.35">
      <c r="A33" s="30"/>
      <c r="B33" s="38" t="s">
        <v>17</v>
      </c>
      <c r="C33" s="38" t="s">
        <v>10</v>
      </c>
      <c r="D33" s="38" t="s">
        <v>23</v>
      </c>
      <c r="E33" s="38" t="s">
        <v>9</v>
      </c>
      <c r="F33" s="38" t="s">
        <v>3</v>
      </c>
      <c r="G33" s="39" t="s">
        <v>7</v>
      </c>
    </row>
    <row r="34" spans="1:9" ht="15" thickBot="1" x14ac:dyDescent="0.4">
      <c r="A34" s="8" t="s">
        <v>8</v>
      </c>
      <c r="B34" s="33">
        <v>0</v>
      </c>
      <c r="C34" s="9">
        <f>B34</f>
        <v>0</v>
      </c>
      <c r="D34" s="9">
        <f>C34*0.008</f>
        <v>0</v>
      </c>
      <c r="E34" s="10">
        <f>B34*Data!B4</f>
        <v>0</v>
      </c>
      <c r="F34" s="10">
        <f>B34*Data!B5</f>
        <v>0</v>
      </c>
      <c r="G34" s="43">
        <f>F34+E34</f>
        <v>0</v>
      </c>
    </row>
    <row r="35" spans="1:9" x14ac:dyDescent="0.35">
      <c r="A35" t="s">
        <v>44</v>
      </c>
    </row>
    <row r="39" spans="1:9" ht="18.5" x14ac:dyDescent="0.45">
      <c r="A39" s="11" t="s">
        <v>48</v>
      </c>
    </row>
    <row r="40" spans="1:9" ht="15" thickBot="1" x14ac:dyDescent="0.4"/>
    <row r="41" spans="1:9" ht="29" x14ac:dyDescent="0.35">
      <c r="A41" s="66"/>
      <c r="B41" s="67" t="s">
        <v>50</v>
      </c>
      <c r="C41" s="67" t="s">
        <v>10</v>
      </c>
      <c r="D41" s="67" t="s">
        <v>23</v>
      </c>
      <c r="E41" s="67" t="s">
        <v>51</v>
      </c>
      <c r="F41" s="67" t="s">
        <v>52</v>
      </c>
      <c r="G41" s="67" t="s">
        <v>53</v>
      </c>
      <c r="H41" s="67" t="s">
        <v>54</v>
      </c>
      <c r="I41" s="68" t="s">
        <v>7</v>
      </c>
    </row>
    <row r="42" spans="1:9" ht="15" thickBot="1" x14ac:dyDescent="0.4">
      <c r="A42" s="65" t="s">
        <v>49</v>
      </c>
      <c r="B42" s="33">
        <v>1</v>
      </c>
      <c r="C42" s="72">
        <f>B42*2.16</f>
        <v>2.16</v>
      </c>
      <c r="D42" s="71">
        <f>C42*0.008</f>
        <v>1.728E-2</v>
      </c>
      <c r="E42" s="70">
        <f>Data!C12+((Data!C13-Data!C12)*0.32)</f>
        <v>7837.0588239999997</v>
      </c>
      <c r="F42" s="70">
        <f>Data!D12+((Data!D13-Data!D12)*0.32)</f>
        <v>919.51448800000003</v>
      </c>
      <c r="G42" s="70">
        <f>E42*B42</f>
        <v>7837.0588239999997</v>
      </c>
      <c r="H42" s="70">
        <f>F42*B42</f>
        <v>919.51448800000003</v>
      </c>
      <c r="I42" s="69">
        <f>H42+G42</f>
        <v>8756.5733120000004</v>
      </c>
    </row>
    <row r="43" spans="1:9" x14ac:dyDescent="0.35">
      <c r="A43" t="s">
        <v>59</v>
      </c>
    </row>
    <row r="45" spans="1:9" ht="16" thickBot="1" x14ac:dyDescent="0.4">
      <c r="A45" s="64" t="s">
        <v>56</v>
      </c>
      <c r="I45" s="2"/>
    </row>
    <row r="46" spans="1:9" ht="43.5" x14ac:dyDescent="0.35">
      <c r="A46" s="42"/>
      <c r="D46" s="73" t="s">
        <v>57</v>
      </c>
      <c r="E46" s="67" t="s">
        <v>61</v>
      </c>
      <c r="F46" s="67" t="s">
        <v>62</v>
      </c>
      <c r="G46" s="67" t="s">
        <v>63</v>
      </c>
      <c r="H46" s="67" t="s">
        <v>60</v>
      </c>
      <c r="I46" s="68" t="s">
        <v>7</v>
      </c>
    </row>
    <row r="47" spans="1:9" ht="15" thickBot="1" x14ac:dyDescent="0.4">
      <c r="D47" s="13">
        <v>5</v>
      </c>
      <c r="E47" s="74">
        <f>E42/125</f>
        <v>62.696470591999997</v>
      </c>
      <c r="F47" s="75">
        <f>F42/80</f>
        <v>11.493931100000001</v>
      </c>
      <c r="G47" s="70">
        <f>(G42/125)*D47</f>
        <v>313.48235295999996</v>
      </c>
      <c r="H47" s="70">
        <f>(H42/80)*D47</f>
        <v>57.469655500000002</v>
      </c>
      <c r="I47" s="69">
        <f>G47+H47</f>
        <v>370.95200845999994</v>
      </c>
    </row>
    <row r="48" spans="1:9" x14ac:dyDescent="0.35">
      <c r="A48" t="s">
        <v>58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AA246-3BC0-413E-B08E-5F7295CFFC7F}">
  <dimension ref="A2:I23"/>
  <sheetViews>
    <sheetView workbookViewId="0">
      <selection activeCell="F5" sqref="F5"/>
    </sheetView>
  </sheetViews>
  <sheetFormatPr defaultRowHeight="14.5" x14ac:dyDescent="0.35"/>
  <cols>
    <col min="1" max="1" width="23.08984375" customWidth="1"/>
    <col min="2" max="5" width="20.08984375" customWidth="1"/>
    <col min="9" max="9" width="10.90625" bestFit="1" customWidth="1"/>
  </cols>
  <sheetData>
    <row r="2" spans="1:9" x14ac:dyDescent="0.35">
      <c r="A2" s="1" t="s">
        <v>40</v>
      </c>
      <c r="B2" s="1" t="s">
        <v>41</v>
      </c>
    </row>
    <row r="4" spans="1:9" x14ac:dyDescent="0.35">
      <c r="A4" s="1" t="s">
        <v>31</v>
      </c>
      <c r="B4" s="3">
        <v>3628.94</v>
      </c>
      <c r="D4" s="3"/>
      <c r="E4" s="3"/>
    </row>
    <row r="5" spans="1:9" x14ac:dyDescent="0.35">
      <c r="A5" s="1" t="s">
        <v>32</v>
      </c>
      <c r="B5" s="3">
        <v>425.78</v>
      </c>
      <c r="D5" s="3"/>
      <c r="E5" s="3"/>
    </row>
    <row r="6" spans="1:9" x14ac:dyDescent="0.35">
      <c r="A6" s="52" t="s">
        <v>24</v>
      </c>
      <c r="B6" s="3"/>
    </row>
    <row r="7" spans="1:9" x14ac:dyDescent="0.35">
      <c r="A7" t="s">
        <v>29</v>
      </c>
      <c r="B7" s="3"/>
    </row>
    <row r="9" spans="1:9" x14ac:dyDescent="0.35">
      <c r="A9" s="1" t="s">
        <v>1</v>
      </c>
    </row>
    <row r="10" spans="1:9" x14ac:dyDescent="0.35">
      <c r="A10" s="1" t="s">
        <v>16</v>
      </c>
      <c r="B10" s="1" t="s">
        <v>4</v>
      </c>
      <c r="C10" s="1" t="s">
        <v>2</v>
      </c>
      <c r="D10" s="1" t="s">
        <v>3</v>
      </c>
      <c r="E10" s="1" t="s">
        <v>7</v>
      </c>
    </row>
    <row r="11" spans="1:9" x14ac:dyDescent="0.35">
      <c r="A11" s="1">
        <v>1</v>
      </c>
      <c r="B11">
        <v>1.37</v>
      </c>
      <c r="C11" s="4">
        <f>$B$4*B11</f>
        <v>4971.6478000000006</v>
      </c>
      <c r="D11" s="4">
        <f>$B$5*B11</f>
        <v>583.31860000000006</v>
      </c>
      <c r="E11" s="4">
        <f>D11+C11</f>
        <v>5554.9664000000012</v>
      </c>
      <c r="I11" s="4"/>
    </row>
    <row r="12" spans="1:9" x14ac:dyDescent="0.35">
      <c r="A12" s="1">
        <v>2</v>
      </c>
      <c r="B12">
        <v>1.99</v>
      </c>
      <c r="C12" s="4">
        <f t="shared" ref="C12:C15" si="0">$B$4*B12</f>
        <v>7221.5906000000004</v>
      </c>
      <c r="D12" s="4">
        <f t="shared" ref="D12:D15" si="1">$B$5*B12</f>
        <v>847.30219999999997</v>
      </c>
      <c r="E12" s="4">
        <f t="shared" ref="E12:E15" si="2">D12+C12</f>
        <v>8068.8928000000005</v>
      </c>
      <c r="I12" s="4"/>
    </row>
    <row r="13" spans="1:9" x14ac:dyDescent="0.35">
      <c r="A13" s="1">
        <v>3</v>
      </c>
      <c r="B13">
        <v>2.52</v>
      </c>
      <c r="C13" s="4">
        <f t="shared" si="0"/>
        <v>9144.9287999999997</v>
      </c>
      <c r="D13" s="4">
        <f t="shared" si="1"/>
        <v>1072.9656</v>
      </c>
      <c r="E13" s="4">
        <f t="shared" si="2"/>
        <v>10217.894399999999</v>
      </c>
      <c r="I13" s="4"/>
    </row>
    <row r="14" spans="1:9" x14ac:dyDescent="0.35">
      <c r="A14" s="1">
        <v>4</v>
      </c>
      <c r="B14">
        <v>2.92</v>
      </c>
      <c r="C14" s="4">
        <f t="shared" si="0"/>
        <v>10596.504800000001</v>
      </c>
      <c r="D14" s="4">
        <f t="shared" si="1"/>
        <v>1243.2775999999999</v>
      </c>
      <c r="E14" s="4">
        <f t="shared" si="2"/>
        <v>11839.7824</v>
      </c>
      <c r="I14" s="4"/>
    </row>
    <row r="15" spans="1:9" x14ac:dyDescent="0.35">
      <c r="A15" s="1">
        <v>5</v>
      </c>
      <c r="B15">
        <v>3.37</v>
      </c>
      <c r="C15" s="4">
        <f t="shared" si="0"/>
        <v>12229.5278</v>
      </c>
      <c r="D15" s="4">
        <f t="shared" si="1"/>
        <v>1434.8786</v>
      </c>
      <c r="E15" s="4">
        <f t="shared" si="2"/>
        <v>13664.4064</v>
      </c>
      <c r="I15" s="4"/>
    </row>
    <row r="16" spans="1:9" x14ac:dyDescent="0.35">
      <c r="E16" s="4"/>
      <c r="I16" s="4"/>
    </row>
    <row r="18" spans="2:9" x14ac:dyDescent="0.35">
      <c r="I18" s="4"/>
    </row>
    <row r="19" spans="2:9" x14ac:dyDescent="0.35">
      <c r="B19" s="3"/>
      <c r="I19" s="4"/>
    </row>
    <row r="23" spans="2:9" x14ac:dyDescent="0.35">
      <c r="C23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b777c9-aa3d-4266-99a9-bd940700a526" xsi:nil="true"/>
    <lcf76f155ced4ddcb4097134ff3c332f xmlns="4492885a-01ad-4d9e-aa46-99625fd9448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5F308A01D7C7488D31DD6F9467485C" ma:contentTypeVersion="19" ma:contentTypeDescription="Create a new document." ma:contentTypeScope="" ma:versionID="d9c583463078d70fdb9f093b99841418">
  <xsd:schema xmlns:xsd="http://www.w3.org/2001/XMLSchema" xmlns:xs="http://www.w3.org/2001/XMLSchema" xmlns:p="http://schemas.microsoft.com/office/2006/metadata/properties" xmlns:ns2="4492885a-01ad-4d9e-aa46-99625fd94487" xmlns:ns3="30b777c9-aa3d-4266-99a9-bd940700a526" targetNamespace="http://schemas.microsoft.com/office/2006/metadata/properties" ma:root="true" ma:fieldsID="91232fa5f16dd519a4b1045673b7f4c3" ns2:_="" ns3:_="">
    <xsd:import namespace="4492885a-01ad-4d9e-aa46-99625fd94487"/>
    <xsd:import namespace="30b777c9-aa3d-4266-99a9-bd940700a5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2885a-01ad-4d9e-aa46-99625fd944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1c6973e-1e49-4a6d-84e8-8ff76525da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777c9-aa3d-4266-99a9-bd940700a52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30fa40b-fb74-4521-a5c2-ab9873d1a890}" ma:internalName="TaxCatchAll" ma:showField="CatchAllData" ma:web="30b777c9-aa3d-4266-99a9-bd940700a5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1AEFCD-0B66-4F1A-BA92-28BE101B8D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54FA3B-D031-4A48-A1E8-DCA3EF7817B2}">
  <ds:schemaRefs>
    <ds:schemaRef ds:uri="http://schemas.microsoft.com/office/2006/metadata/properties"/>
    <ds:schemaRef ds:uri="http://schemas.microsoft.com/office/infopath/2007/PartnerControls"/>
    <ds:schemaRef ds:uri="30b777c9-aa3d-4266-99a9-bd940700a526"/>
    <ds:schemaRef ds:uri="4492885a-01ad-4d9e-aa46-99625fd94487"/>
  </ds:schemaRefs>
</ds:datastoreItem>
</file>

<file path=customXml/itemProps3.xml><?xml version="1.0" encoding="utf-8"?>
<ds:datastoreItem xmlns:ds="http://schemas.openxmlformats.org/officeDocument/2006/customXml" ds:itemID="{B0DB8375-93EE-4C27-919C-EB05593626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2885a-01ad-4d9e-aa46-99625fd94487"/>
    <ds:schemaRef ds:uri="30b777c9-aa3d-4266-99a9-bd940700a5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Calculator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Knowles</dc:creator>
  <cp:lastModifiedBy>Gabriella Ebbs</cp:lastModifiedBy>
  <dcterms:created xsi:type="dcterms:W3CDTF">2024-10-24T12:27:36Z</dcterms:created>
  <dcterms:modified xsi:type="dcterms:W3CDTF">2026-09-25T10:41:33Z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0x010100615F308A01D7C7488D31DD6F9467485C</vt:lpwstr>
  </property>
  <property fmtid="{D5CDD505-2E9C-101B-9397-08002B2CF9AE}" pid="3" name="MediaServiceImageTags">
    <vt:lpwstr/>
  </property>
</Properties>
</file>